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2البحث العلمي\"/>
    </mc:Choice>
  </mc:AlternateContent>
  <xr:revisionPtr revIDLastSave="0" documentId="13_ncr:1_{527B768F-F1A6-4FAA-BE2A-997220D99A19}" xr6:coauthVersionLast="47" xr6:coauthVersionMax="47" xr10:uidLastSave="{00000000-0000-0000-0000-000000000000}"/>
  <bookViews>
    <workbookView xWindow="-120" yWindow="-120" windowWidth="21840" windowHeight="13140" tabRatio="978" activeTab="1" xr2:uid="{00000000-000D-0000-FFFF-FFFF00000000}"/>
  </bookViews>
  <sheets>
    <sheet name="الموازنة العامة" sheetId="23" r:id="rId1"/>
    <sheet name="نسبةالبحث من الميزانية" sheetId="24" r:id="rId2"/>
  </sheets>
  <calcPr calcId="181029"/>
</workbook>
</file>

<file path=xl/calcChain.xml><?xml version="1.0" encoding="utf-8"?>
<calcChain xmlns="http://schemas.openxmlformats.org/spreadsheetml/2006/main">
  <c r="D87" i="23" l="1"/>
  <c r="D86" i="23"/>
  <c r="D84" i="23"/>
  <c r="D83" i="23"/>
  <c r="C82" i="23"/>
  <c r="D81" i="23"/>
  <c r="D80" i="23"/>
  <c r="C79" i="23"/>
  <c r="B79" i="23"/>
  <c r="D78" i="23"/>
  <c r="C77" i="23"/>
  <c r="C76" i="23"/>
  <c r="C75" i="23"/>
  <c r="C72" i="23"/>
  <c r="C71" i="23"/>
  <c r="C70" i="23"/>
  <c r="C69" i="23"/>
  <c r="B69" i="23"/>
  <c r="C68" i="23"/>
  <c r="C67" i="23"/>
  <c r="D62" i="23"/>
  <c r="D59" i="23" s="1"/>
  <c r="C62" i="23"/>
  <c r="C59" i="23" s="1"/>
  <c r="B60" i="23"/>
  <c r="B59" i="23" s="1"/>
  <c r="C54" i="23"/>
  <c r="C52" i="23" s="1"/>
  <c r="B54" i="23"/>
  <c r="B52" i="23" s="1"/>
  <c r="D52" i="23"/>
  <c r="D49" i="23"/>
  <c r="D48" i="23" s="1"/>
  <c r="C49" i="23"/>
  <c r="C48" i="23" s="1"/>
  <c r="B49" i="23"/>
  <c r="B48" i="23" s="1"/>
  <c r="D43" i="23"/>
  <c r="B43" i="23"/>
  <c r="C43" i="23"/>
  <c r="C39" i="23"/>
  <c r="C38" i="23" s="1"/>
  <c r="B38" i="23"/>
  <c r="D38" i="23"/>
  <c r="C35" i="23"/>
  <c r="C33" i="23" s="1"/>
  <c r="B35" i="23"/>
  <c r="B34" i="23"/>
  <c r="D33" i="23"/>
  <c r="C20" i="23"/>
  <c r="B24" i="23"/>
  <c r="B23" i="23"/>
  <c r="B22" i="23"/>
  <c r="D20" i="23"/>
  <c r="C19" i="23"/>
  <c r="B19" i="23"/>
  <c r="C18" i="23"/>
  <c r="B18" i="23"/>
  <c r="C17" i="23"/>
  <c r="B17" i="23"/>
  <c r="B16" i="23"/>
  <c r="D15" i="23"/>
  <c r="C14" i="23"/>
  <c r="B14" i="23"/>
  <c r="C13" i="23"/>
  <c r="B13" i="23"/>
  <c r="C12" i="23"/>
  <c r="B12" i="23"/>
  <c r="B11" i="23"/>
  <c r="D10" i="23"/>
  <c r="C9" i="23"/>
  <c r="B9" i="23"/>
  <c r="C8" i="23"/>
  <c r="B8" i="23"/>
  <c r="B7" i="23"/>
  <c r="D6" i="23"/>
  <c r="D32" i="23" l="1"/>
  <c r="C32" i="23"/>
  <c r="C6" i="23"/>
  <c r="C64" i="23"/>
  <c r="C10" i="23"/>
  <c r="B10" i="23"/>
  <c r="B64" i="23"/>
  <c r="D64" i="23"/>
  <c r="B6" i="23"/>
  <c r="B20" i="23"/>
  <c r="D5" i="23"/>
  <c r="D4" i="23" s="1"/>
  <c r="B33" i="23"/>
  <c r="B32" i="23" s="1"/>
  <c r="B31" i="23" s="1"/>
  <c r="B15" i="23"/>
  <c r="C15" i="23"/>
  <c r="C31" i="23" l="1"/>
  <c r="D31" i="23"/>
  <c r="C5" i="23"/>
  <c r="C4" i="23" s="1"/>
  <c r="D93" i="23"/>
  <c r="B5" i="23"/>
  <c r="B4" i="23" s="1"/>
  <c r="B93" i="23" l="1"/>
  <c r="C93" i="23" l="1"/>
</calcChain>
</file>

<file path=xl/sharedStrings.xml><?xml version="1.0" encoding="utf-8"?>
<sst xmlns="http://schemas.openxmlformats.org/spreadsheetml/2006/main" count="126" uniqueCount="100">
  <si>
    <t>البيان</t>
  </si>
  <si>
    <t>رسوم التسجيل  كلية الشريعة</t>
  </si>
  <si>
    <t>رسوم التسجيل كلية الهندسة قسم تقنية المعلومات</t>
  </si>
  <si>
    <t>رسوم التسجيل كلية العلوم الادارية</t>
  </si>
  <si>
    <t>رسوم الانشطة الطلابية كلية الشريعة</t>
  </si>
  <si>
    <t>رسوم الانشطة الطلابية كلية الهندسة وتقنية المعلومات</t>
  </si>
  <si>
    <t>رسوم الانشطة الطلابية كلية العلوم الادارية</t>
  </si>
  <si>
    <t>رسوم الانشطة كلية الاداب والعلوم الانسانية</t>
  </si>
  <si>
    <t>رسوم الانشطة الطلابيه</t>
  </si>
  <si>
    <t>رسوم تجديد القيد كلية الشريعة</t>
  </si>
  <si>
    <t>رسوم تجديد القيد كلية الهندسة وتقنية المعلومات</t>
  </si>
  <si>
    <t>رسوم تجديد القيد كلية العلوم الادارية</t>
  </si>
  <si>
    <t>رسوم تجديد القيد كلية الاداب والعلوم الانسانية</t>
  </si>
  <si>
    <t>رسوم دراسية كلية الشريعة</t>
  </si>
  <si>
    <t>رسوم دراسية كلية الهندسة وتقنية المعلومات</t>
  </si>
  <si>
    <t>رسوم دراسية كلية الاداب والعلوم الانسانية</t>
  </si>
  <si>
    <t>رسوم دراسية كلية الدراسات العليا</t>
  </si>
  <si>
    <t>المصروفات</t>
  </si>
  <si>
    <t xml:space="preserve">م/ اخرى </t>
  </si>
  <si>
    <t>م/رسوم اشتراك عضوية الغرفة التجارية</t>
  </si>
  <si>
    <t xml:space="preserve">م / تجديد ترخيص الجامعة </t>
  </si>
  <si>
    <t>م / تصديق الشهادات الجامعية</t>
  </si>
  <si>
    <t>م/الانشطة الطلابية</t>
  </si>
  <si>
    <t>م/ اتعاب مراجعة الحسابات</t>
  </si>
  <si>
    <t>مصروفات المجلة العلمية</t>
  </si>
  <si>
    <t>م / رسوم تجديد اشتراك عضوية اتحاد الجامعات العربية</t>
  </si>
  <si>
    <t>م . تكاليف الجودة والبحث العلمي</t>
  </si>
  <si>
    <t>مصروفات رئاسة الجامعة</t>
  </si>
  <si>
    <t>بدلات السفر</t>
  </si>
  <si>
    <t>م.الصيانة والاصلاحات</t>
  </si>
  <si>
    <t>م./انتقالات والمحروقات</t>
  </si>
  <si>
    <t>م./التشجير والنظافة</t>
  </si>
  <si>
    <t>م./دعاية واعلان</t>
  </si>
  <si>
    <t>م./ضيافة وبوفية</t>
  </si>
  <si>
    <t>م./قرطاسية ومكتبية</t>
  </si>
  <si>
    <t>م/بنكية</t>
  </si>
  <si>
    <t>م./غذاءات</t>
  </si>
  <si>
    <t>م./الهاتف والانترنت</t>
  </si>
  <si>
    <t>م / التدريب والتأهيل</t>
  </si>
  <si>
    <t>رسوم دراسية كلية العلوم الادارية</t>
  </si>
  <si>
    <t xml:space="preserve">رسوم تجديد القيد </t>
  </si>
  <si>
    <t>رسوم التسجيل طلاب</t>
  </si>
  <si>
    <t xml:space="preserve">الرسوم الدراسية </t>
  </si>
  <si>
    <t xml:space="preserve">م.هيئة التدريس المتعاقدين بالساعات </t>
  </si>
  <si>
    <t>المصروفات الاخرى</t>
  </si>
  <si>
    <t>اجور ساعات التدريس</t>
  </si>
  <si>
    <t>اجور الاشراف على رسائل الماجستير</t>
  </si>
  <si>
    <t>مصروف اهلاك الاصول الثابتة</t>
  </si>
  <si>
    <t>مساهمة التأمين 9 %</t>
  </si>
  <si>
    <t>المساهمة في صندوق التدريب 1 %</t>
  </si>
  <si>
    <t>م. العمل الاضافي للموظفين الاداريين</t>
  </si>
  <si>
    <t xml:space="preserve">اجمالي الرسوم </t>
  </si>
  <si>
    <t>ايرادات اخرى</t>
  </si>
  <si>
    <t>م.الماء</t>
  </si>
  <si>
    <t>م./الكهرباء</t>
  </si>
  <si>
    <t>النفقات الفعليه</t>
  </si>
  <si>
    <t>2023-2024</t>
  </si>
  <si>
    <t>الملاحظات</t>
  </si>
  <si>
    <t xml:space="preserve">الايرادات </t>
  </si>
  <si>
    <t xml:space="preserve">المصروفات الاخرى </t>
  </si>
  <si>
    <t>رواتب وأجورالموظفين الاداريين</t>
  </si>
  <si>
    <t>الايرادات الفعليه</t>
  </si>
  <si>
    <t>م.هيئة التدريس بكلية الشريعة</t>
  </si>
  <si>
    <t>م.هيئة التدريس بكلية الهندسة</t>
  </si>
  <si>
    <t>م.هيئة التدريس بكلية العلوم الادارية</t>
  </si>
  <si>
    <t>م.هيئة التدريس بكلية الاداب</t>
  </si>
  <si>
    <t>م.هيئة التدريس للدراسات العليا</t>
  </si>
  <si>
    <t>صافي العجز او الفائض</t>
  </si>
  <si>
    <t>فوارق عملة</t>
  </si>
  <si>
    <t>رواتب الموظفين الادارين لكلية الشريعة</t>
  </si>
  <si>
    <t>أولا : كلية الشريعة</t>
  </si>
  <si>
    <t>ثانيا : كلية الهندسة وتقنية المعلومات</t>
  </si>
  <si>
    <t>ثالثا : كلية العلوم الادارية</t>
  </si>
  <si>
    <t>رابعا : كلية الاداب والعلوم الانسانية</t>
  </si>
  <si>
    <t>خامسا : مركز اللغة العربية للناطقين بغيرها</t>
  </si>
  <si>
    <t>رواتب الموظفين الادارين  لكلية العلوم الادارية</t>
  </si>
  <si>
    <t xml:space="preserve">رواتب الموظفين الادارين </t>
  </si>
  <si>
    <t>2024-2025</t>
  </si>
  <si>
    <t>رواتب الموظفين الاداريين للدراسات العليا</t>
  </si>
  <si>
    <t>مؤتمرات وورش عمل</t>
  </si>
  <si>
    <t>النشر العلمي</t>
  </si>
  <si>
    <t>المشاريع البحثية الممولة من الجامعة</t>
  </si>
  <si>
    <t>سادسا : إدارة البحث العلمي</t>
  </si>
  <si>
    <t>سابعا : إدارة الدراسات العليا</t>
  </si>
  <si>
    <t>مصروفات الكليات والإدارات والمراكز</t>
  </si>
  <si>
    <t>نسبة الميزانية المعتمدة للبحث العلمي من الميزانية الكلية للجامعة = 8%</t>
  </si>
  <si>
    <t>المصروفات الاجمالية في الموازنة العامة للجامعة</t>
  </si>
  <si>
    <t>الموازنة التقديرية للعام الجامعي 2025- 2026م</t>
  </si>
  <si>
    <t>الموازنة المتوقعة لعام    2025 - 2026</t>
  </si>
  <si>
    <t>2025-2026</t>
  </si>
  <si>
    <t>US$ 192139.0 لعام 2025-2026</t>
  </si>
  <si>
    <t>مصروفات إدارة البحث العلمي وإدارة الجودة</t>
  </si>
  <si>
    <t xml:space="preserve">الميزانية المعتمدة للبحث العلمي من الميزانية الكلية للجامعة </t>
  </si>
  <si>
    <t>US$ 16811/- لعام 2025-2026</t>
  </si>
  <si>
    <t>US$ 15529/- لعام 2025-2026</t>
  </si>
  <si>
    <t>US$ 5769/- لعام 2025-2026</t>
  </si>
  <si>
    <t>US$ 3910/- لعام 2025-2026</t>
  </si>
  <si>
    <t>US$ 5849/- لعام 2025-2026</t>
  </si>
  <si>
    <t>US$ 1283/- لعام 2025-2026</t>
  </si>
  <si>
    <t>نسبة الميزانية المعتمدة للبحث العلمي من الميزانية الكلية للجامعة = 8.7%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</si>
</sst>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0"/>
      <name val="Arabic Transparent"/>
    </font>
    <font>
      <sz val="11"/>
      <name val="Arabic Transparent"/>
    </font>
    <font>
      <sz val="10"/>
      <name val="Arial"/>
      <family val="2"/>
      <scheme val="minor"/>
    </font>
    <font>
      <sz val="9"/>
      <name val="Arial"/>
      <family val="2"/>
      <scheme val="minor"/>
    </font>
    <font>
      <sz val="12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4">
    <xf numFmtId="0" fontId="0" fillId="0" borderId="0" xfId="0"/>
    <xf numFmtId="165" fontId="4" fillId="0" borderId="1" xfId="1" applyNumberFormat="1" applyFont="1" applyBorder="1" applyAlignment="1">
      <alignment vertical="center"/>
    </xf>
    <xf numFmtId="165" fontId="4" fillId="3" borderId="1" xfId="1" applyNumberFormat="1" applyFont="1" applyFill="1" applyBorder="1" applyAlignment="1">
      <alignment horizontal="right" vertical="center"/>
    </xf>
    <xf numFmtId="165" fontId="5" fillId="4" borderId="1" xfId="1" applyNumberFormat="1" applyFont="1" applyFill="1" applyBorder="1" applyAlignment="1">
      <alignment vertical="center"/>
    </xf>
    <xf numFmtId="165" fontId="5" fillId="4" borderId="1" xfId="1" applyNumberFormat="1" applyFont="1" applyFill="1" applyBorder="1" applyAlignment="1">
      <alignment horizontal="right" vertical="center"/>
    </xf>
    <xf numFmtId="165" fontId="6" fillId="0" borderId="1" xfId="1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horizontal="right" vertical="center"/>
    </xf>
    <xf numFmtId="165" fontId="6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165" fontId="4" fillId="3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65" fontId="5" fillId="5" borderId="1" xfId="1" applyNumberFormat="1" applyFont="1" applyFill="1" applyBorder="1" applyAlignment="1">
      <alignment horizontal="right" vertical="center"/>
    </xf>
    <xf numFmtId="164" fontId="5" fillId="5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165" fontId="5" fillId="5" borderId="1" xfId="1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5" fontId="6" fillId="0" borderId="1" xfId="1" applyNumberFormat="1" applyFont="1" applyBorder="1" applyAlignment="1">
      <alignment horizontal="right" vertical="center"/>
    </xf>
    <xf numFmtId="165" fontId="5" fillId="3" borderId="1" xfId="1" applyNumberFormat="1" applyFont="1" applyFill="1" applyBorder="1" applyAlignment="1">
      <alignment vertical="center"/>
    </xf>
    <xf numFmtId="0" fontId="6" fillId="0" borderId="1" xfId="1" applyNumberFormat="1" applyFont="1" applyBorder="1" applyAlignment="1">
      <alignment vertical="center"/>
    </xf>
    <xf numFmtId="0" fontId="5" fillId="3" borderId="0" xfId="0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165" fontId="6" fillId="0" borderId="1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vertical="center"/>
    </xf>
    <xf numFmtId="165" fontId="0" fillId="0" borderId="1" xfId="1" applyNumberFormat="1" applyFont="1" applyFill="1" applyBorder="1"/>
    <xf numFmtId="0" fontId="11" fillId="0" borderId="1" xfId="1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right" vertical="center"/>
    </xf>
    <xf numFmtId="164" fontId="12" fillId="5" borderId="1" xfId="1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 indent="1" readingOrder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65" fontId="4" fillId="0" borderId="1" xfId="1" applyNumberFormat="1" applyFont="1" applyBorder="1" applyAlignment="1">
      <alignment horizontal="right" vertical="top"/>
    </xf>
    <xf numFmtId="165" fontId="6" fillId="3" borderId="1" xfId="1" applyNumberFormat="1" applyFont="1" applyFill="1" applyBorder="1" applyAlignment="1">
      <alignment horizontal="right" vertical="top"/>
    </xf>
    <xf numFmtId="165" fontId="6" fillId="3" borderId="1" xfId="1" applyNumberFormat="1" applyFont="1" applyFill="1" applyBorder="1" applyAlignment="1">
      <alignment vertical="top"/>
    </xf>
    <xf numFmtId="165" fontId="6" fillId="3" borderId="1" xfId="1" applyNumberFormat="1" applyFont="1" applyFill="1" applyBorder="1" applyAlignment="1"/>
    <xf numFmtId="0" fontId="14" fillId="0" borderId="1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93</xdr:row>
      <xdr:rowOff>133350</xdr:rowOff>
    </xdr:from>
    <xdr:to>
      <xdr:col>6</xdr:col>
      <xdr:colOff>66675</xdr:colOff>
      <xdr:row>131</xdr:row>
      <xdr:rowOff>19050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4AFD05D-F6CA-49E5-9BB7-41758BB8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1965725" y="18164175"/>
          <a:ext cx="6496050" cy="676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15</xdr:row>
      <xdr:rowOff>133350</xdr:rowOff>
    </xdr:from>
    <xdr:to>
      <xdr:col>5</xdr:col>
      <xdr:colOff>342900</xdr:colOff>
      <xdr:row>53</xdr:row>
      <xdr:rowOff>19050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5460693-0C2A-4D97-B614-91B6A950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375300" y="3038475"/>
          <a:ext cx="6496050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3"/>
  <sheetViews>
    <sheetView rightToLeft="1" topLeftCell="A82" workbookViewId="0">
      <selection activeCell="B98" sqref="B98"/>
    </sheetView>
  </sheetViews>
  <sheetFormatPr defaultRowHeight="14.25" x14ac:dyDescent="0.2"/>
  <cols>
    <col min="1" max="1" width="31.25" customWidth="1"/>
    <col min="2" max="2" width="15" customWidth="1"/>
    <col min="3" max="3" width="12.625" customWidth="1"/>
    <col min="4" max="4" width="14.875" customWidth="1"/>
    <col min="5" max="5" width="29.25" customWidth="1"/>
  </cols>
  <sheetData>
    <row r="1" spans="1:5" ht="15.75" x14ac:dyDescent="0.2">
      <c r="A1" s="57" t="s">
        <v>87</v>
      </c>
      <c r="B1" s="57"/>
      <c r="C1" s="57"/>
      <c r="D1" s="57"/>
      <c r="E1" s="57"/>
    </row>
    <row r="2" spans="1:5" ht="35.25" customHeight="1" x14ac:dyDescent="0.2">
      <c r="A2" s="55" t="s">
        <v>0</v>
      </c>
      <c r="B2" s="56" t="s">
        <v>61</v>
      </c>
      <c r="C2" s="56"/>
      <c r="D2" s="36" t="s">
        <v>88</v>
      </c>
      <c r="E2" s="56" t="s">
        <v>57</v>
      </c>
    </row>
    <row r="3" spans="1:5" ht="27" customHeight="1" x14ac:dyDescent="0.2">
      <c r="A3" s="55"/>
      <c r="B3" s="36" t="s">
        <v>56</v>
      </c>
      <c r="C3" s="36" t="s">
        <v>77</v>
      </c>
      <c r="D3" s="36" t="s">
        <v>89</v>
      </c>
      <c r="E3" s="56"/>
    </row>
    <row r="4" spans="1:5" ht="18" x14ac:dyDescent="0.2">
      <c r="A4" s="20" t="s">
        <v>58</v>
      </c>
      <c r="B4" s="21">
        <f>B5+B26</f>
        <v>172181091</v>
      </c>
      <c r="C4" s="21">
        <f>C5+C26</f>
        <v>187789329</v>
      </c>
      <c r="D4" s="21">
        <f>D5+D26</f>
        <v>243897469</v>
      </c>
      <c r="E4" s="21"/>
    </row>
    <row r="5" spans="1:5" ht="15" x14ac:dyDescent="0.2">
      <c r="A5" s="6" t="s">
        <v>51</v>
      </c>
      <c r="B5" s="3">
        <f>B6+B10+B15+B20</f>
        <v>142145480</v>
      </c>
      <c r="C5" s="3">
        <f>C6+C10+C15+C20</f>
        <v>150136200</v>
      </c>
      <c r="D5" s="3">
        <f>D6+D10+D15+D20</f>
        <v>206993575</v>
      </c>
      <c r="E5" s="3"/>
    </row>
    <row r="6" spans="1:5" ht="15" x14ac:dyDescent="0.2">
      <c r="A6" s="6" t="s">
        <v>41</v>
      </c>
      <c r="B6" s="3">
        <f>SUM(B7:B9)</f>
        <v>3600000</v>
      </c>
      <c r="C6" s="3">
        <f>SUM(C7:C9)</f>
        <v>4035000</v>
      </c>
      <c r="D6" s="3">
        <f>SUM(D7:D9)</f>
        <v>6405000</v>
      </c>
      <c r="E6" s="3"/>
    </row>
    <row r="7" spans="1:5" x14ac:dyDescent="0.2">
      <c r="A7" s="8" t="s">
        <v>1</v>
      </c>
      <c r="B7" s="32">
        <f>270000+333000</f>
        <v>603000</v>
      </c>
      <c r="C7" s="33">
        <v>750000</v>
      </c>
      <c r="D7" s="33">
        <v>1290000</v>
      </c>
      <c r="E7" s="33"/>
    </row>
    <row r="8" spans="1:5" x14ac:dyDescent="0.2">
      <c r="A8" s="8" t="s">
        <v>2</v>
      </c>
      <c r="B8" s="32">
        <f>234000+423000+162000</f>
        <v>819000</v>
      </c>
      <c r="C8" s="33">
        <f>300000+690000</f>
        <v>990000</v>
      </c>
      <c r="D8" s="33">
        <v>1110000</v>
      </c>
      <c r="E8" s="33"/>
    </row>
    <row r="9" spans="1:5" x14ac:dyDescent="0.2">
      <c r="A9" s="8" t="s">
        <v>3</v>
      </c>
      <c r="B9" s="32">
        <f>261000+351000+108000+999000+459000</f>
        <v>2178000</v>
      </c>
      <c r="C9" s="33">
        <f>1065000+1230000</f>
        <v>2295000</v>
      </c>
      <c r="D9" s="33">
        <v>4005000</v>
      </c>
      <c r="E9" s="33"/>
    </row>
    <row r="10" spans="1:5" ht="15" x14ac:dyDescent="0.2">
      <c r="A10" s="22" t="s">
        <v>8</v>
      </c>
      <c r="B10" s="3">
        <f>SUM(B11:B14)</f>
        <v>1357000</v>
      </c>
      <c r="C10" s="3">
        <f t="shared" ref="C10:D10" si="0">SUM(C11:C14)</f>
        <v>1812000</v>
      </c>
      <c r="D10" s="3">
        <f t="shared" si="0"/>
        <v>2204000</v>
      </c>
      <c r="E10" s="3"/>
    </row>
    <row r="11" spans="1:5" x14ac:dyDescent="0.2">
      <c r="A11" s="8" t="s">
        <v>4</v>
      </c>
      <c r="B11" s="9">
        <f>237000</f>
        <v>237000</v>
      </c>
      <c r="C11" s="10">
        <v>318000</v>
      </c>
      <c r="D11" s="10">
        <v>400000</v>
      </c>
      <c r="E11" s="10"/>
    </row>
    <row r="12" spans="1:5" x14ac:dyDescent="0.2">
      <c r="A12" s="23" t="s">
        <v>5</v>
      </c>
      <c r="B12" s="9">
        <f>142000+94000+47000</f>
        <v>283000</v>
      </c>
      <c r="C12" s="10">
        <f>188000+124000</f>
        <v>312000</v>
      </c>
      <c r="D12" s="10">
        <v>474000</v>
      </c>
      <c r="E12" s="10"/>
    </row>
    <row r="13" spans="1:5" x14ac:dyDescent="0.2">
      <c r="A13" s="8" t="s">
        <v>6</v>
      </c>
      <c r="B13" s="9">
        <f>363000+124000+98000+84000+67000</f>
        <v>736000</v>
      </c>
      <c r="C13" s="33">
        <f>440000+624000</f>
        <v>1064000</v>
      </c>
      <c r="D13" s="10">
        <v>1258000</v>
      </c>
      <c r="E13" s="10"/>
    </row>
    <row r="14" spans="1:5" x14ac:dyDescent="0.2">
      <c r="A14" s="8" t="s">
        <v>7</v>
      </c>
      <c r="B14" s="9">
        <f>44000+26000+31000</f>
        <v>101000</v>
      </c>
      <c r="C14" s="10">
        <f>40000+78000</f>
        <v>118000</v>
      </c>
      <c r="D14" s="10">
        <v>72000</v>
      </c>
      <c r="E14" s="10"/>
    </row>
    <row r="15" spans="1:5" ht="15" x14ac:dyDescent="0.2">
      <c r="A15" s="6" t="s">
        <v>40</v>
      </c>
      <c r="B15" s="3">
        <f>SUM(B16:B19)</f>
        <v>2505000</v>
      </c>
      <c r="C15" s="3">
        <f t="shared" ref="C15:D15" si="1">SUM(C16:C19)</f>
        <v>3818000</v>
      </c>
      <c r="D15" s="3">
        <f t="shared" si="1"/>
        <v>4113000</v>
      </c>
      <c r="E15" s="3"/>
    </row>
    <row r="16" spans="1:5" x14ac:dyDescent="0.2">
      <c r="A16" s="8" t="s">
        <v>9</v>
      </c>
      <c r="B16" s="31">
        <f>30*9000</f>
        <v>270000</v>
      </c>
      <c r="C16" s="10">
        <v>654000</v>
      </c>
      <c r="D16" s="10">
        <v>684000</v>
      </c>
      <c r="E16" s="10"/>
    </row>
    <row r="17" spans="1:5" x14ac:dyDescent="0.2">
      <c r="A17" s="8" t="s">
        <v>10</v>
      </c>
      <c r="B17" s="34">
        <f>234000+235000</f>
        <v>469000</v>
      </c>
      <c r="C17" s="10">
        <f>444000+372000</f>
        <v>816000</v>
      </c>
      <c r="D17" s="10">
        <v>981000</v>
      </c>
      <c r="E17" s="10"/>
    </row>
    <row r="18" spans="1:5" x14ac:dyDescent="0.2">
      <c r="A18" s="8" t="s">
        <v>11</v>
      </c>
      <c r="B18" s="31">
        <f>720000+755000</f>
        <v>1475000</v>
      </c>
      <c r="C18" s="33">
        <f>894000+1112000</f>
        <v>2006000</v>
      </c>
      <c r="D18" s="10">
        <v>2232000</v>
      </c>
      <c r="E18" s="10"/>
    </row>
    <row r="19" spans="1:5" x14ac:dyDescent="0.2">
      <c r="A19" s="8" t="s">
        <v>12</v>
      </c>
      <c r="B19" s="31">
        <f>108000+155000+28000</f>
        <v>291000</v>
      </c>
      <c r="C19" s="10">
        <f>108000+234000</f>
        <v>342000</v>
      </c>
      <c r="D19" s="10">
        <v>216000</v>
      </c>
      <c r="E19" s="10"/>
    </row>
    <row r="20" spans="1:5" ht="15" x14ac:dyDescent="0.2">
      <c r="A20" s="6" t="s">
        <v>42</v>
      </c>
      <c r="B20" s="4">
        <f>SUM(B22:B25)</f>
        <v>134683480</v>
      </c>
      <c r="C20" s="4">
        <f>SUM(C22:C25)</f>
        <v>140471200</v>
      </c>
      <c r="D20" s="4">
        <f>SUM(D22:D25)</f>
        <v>194271575</v>
      </c>
      <c r="E20" s="4"/>
    </row>
    <row r="21" spans="1:5" ht="15" x14ac:dyDescent="0.2">
      <c r="A21" s="7" t="s">
        <v>13</v>
      </c>
      <c r="B21" s="32">
        <v>0</v>
      </c>
      <c r="C21" s="32">
        <v>0</v>
      </c>
      <c r="D21" s="32">
        <v>0</v>
      </c>
      <c r="E21" s="37"/>
    </row>
    <row r="22" spans="1:5" x14ac:dyDescent="0.2">
      <c r="A22" s="8" t="s">
        <v>14</v>
      </c>
      <c r="B22" s="9">
        <f>29289500+7005000</f>
        <v>36294500</v>
      </c>
      <c r="C22" s="10">
        <v>39462500</v>
      </c>
      <c r="D22" s="10">
        <v>49575000</v>
      </c>
      <c r="E22" s="10"/>
    </row>
    <row r="23" spans="1:5" x14ac:dyDescent="0.2">
      <c r="A23" s="8" t="s">
        <v>39</v>
      </c>
      <c r="B23" s="9">
        <f>52176800+14641100</f>
        <v>66817900</v>
      </c>
      <c r="C23" s="10">
        <v>76863200</v>
      </c>
      <c r="D23" s="10">
        <v>111401575</v>
      </c>
      <c r="E23" s="10"/>
    </row>
    <row r="24" spans="1:5" x14ac:dyDescent="0.2">
      <c r="A24" s="8" t="s">
        <v>15</v>
      </c>
      <c r="B24" s="9">
        <f>5380000+2010000</f>
        <v>7390000</v>
      </c>
      <c r="C24" s="10">
        <v>6228500</v>
      </c>
      <c r="D24" s="10">
        <v>3295000</v>
      </c>
      <c r="E24" s="10"/>
    </row>
    <row r="25" spans="1:5" x14ac:dyDescent="0.2">
      <c r="A25" s="8" t="s">
        <v>16</v>
      </c>
      <c r="B25" s="9">
        <v>24181080</v>
      </c>
      <c r="C25" s="10">
        <v>17917000</v>
      </c>
      <c r="D25" s="10">
        <v>30000000</v>
      </c>
      <c r="E25" s="10"/>
    </row>
    <row r="26" spans="1:5" ht="15" x14ac:dyDescent="0.2">
      <c r="A26" s="6" t="s">
        <v>52</v>
      </c>
      <c r="B26" s="3">
        <v>30035611</v>
      </c>
      <c r="C26" s="3">
        <v>37653129</v>
      </c>
      <c r="D26" s="3">
        <v>36903894</v>
      </c>
      <c r="E26" s="3"/>
    </row>
    <row r="27" spans="1:5" ht="15" x14ac:dyDescent="0.2">
      <c r="A27" s="29"/>
      <c r="B27" s="30"/>
      <c r="C27" s="30"/>
      <c r="D27" s="30"/>
      <c r="E27" s="30"/>
    </row>
    <row r="28" spans="1:5" ht="15" x14ac:dyDescent="0.2">
      <c r="A28" s="29"/>
      <c r="B28" s="30"/>
      <c r="C28" s="30"/>
      <c r="D28" s="30"/>
      <c r="E28" s="30"/>
    </row>
    <row r="29" spans="1:5" ht="35.25" customHeight="1" x14ac:dyDescent="0.2">
      <c r="A29" s="55" t="s">
        <v>0</v>
      </c>
      <c r="B29" s="56" t="s">
        <v>55</v>
      </c>
      <c r="C29" s="56"/>
      <c r="D29" s="36" t="s">
        <v>88</v>
      </c>
      <c r="E29" s="56" t="s">
        <v>57</v>
      </c>
    </row>
    <row r="30" spans="1:5" ht="27" customHeight="1" x14ac:dyDescent="0.2">
      <c r="A30" s="55"/>
      <c r="B30" s="36" t="s">
        <v>56</v>
      </c>
      <c r="C30" s="36" t="s">
        <v>77</v>
      </c>
      <c r="D30" s="36" t="s">
        <v>89</v>
      </c>
      <c r="E30" s="56"/>
    </row>
    <row r="31" spans="1:5" ht="18" x14ac:dyDescent="0.2">
      <c r="A31" s="20" t="s">
        <v>17</v>
      </c>
      <c r="B31" s="21">
        <f>B32+B64</f>
        <v>200381077.18000001</v>
      </c>
      <c r="C31" s="21">
        <f>C32+C64</f>
        <v>230243492.82999998</v>
      </c>
      <c r="D31" s="21">
        <f>D32+D64</f>
        <v>299736721.88</v>
      </c>
      <c r="E31" s="38" t="s">
        <v>90</v>
      </c>
    </row>
    <row r="32" spans="1:5" ht="15" x14ac:dyDescent="0.2">
      <c r="A32" s="6" t="s">
        <v>84</v>
      </c>
      <c r="B32" s="3">
        <f>B33+B38+B43+B48+B52+B59+B55</f>
        <v>65517793</v>
      </c>
      <c r="C32" s="3">
        <f>C33+C38+C43+C48+C52+C59+C55</f>
        <v>83030203</v>
      </c>
      <c r="D32" s="3">
        <f>D33+D38+D43+D48+D52+D59+D55</f>
        <v>103815390.28</v>
      </c>
      <c r="E32" s="3"/>
    </row>
    <row r="33" spans="1:5" ht="15" x14ac:dyDescent="0.2">
      <c r="A33" s="6" t="s">
        <v>70</v>
      </c>
      <c r="B33" s="3">
        <f>SUM(B34:B37)</f>
        <v>21437900</v>
      </c>
      <c r="C33" s="3">
        <f>SUM(C34:C37)</f>
        <v>27028142</v>
      </c>
      <c r="D33" s="3">
        <f>SUM(D34:D37)</f>
        <v>27966713</v>
      </c>
      <c r="E33" s="3"/>
    </row>
    <row r="34" spans="1:5" x14ac:dyDescent="0.2">
      <c r="A34" s="24" t="s">
        <v>62</v>
      </c>
      <c r="B34" s="2">
        <f>8491178+1252326+3069482</f>
        <v>12812986</v>
      </c>
      <c r="C34" s="13">
        <v>18307292</v>
      </c>
      <c r="D34" s="13">
        <v>14740945</v>
      </c>
      <c r="E34" s="8"/>
    </row>
    <row r="35" spans="1:5" x14ac:dyDescent="0.2">
      <c r="A35" s="25" t="s">
        <v>43</v>
      </c>
      <c r="B35" s="2">
        <f>3810250</f>
        <v>3810250</v>
      </c>
      <c r="C35" s="13">
        <f>1758000+2348450</f>
        <v>4106450</v>
      </c>
      <c r="D35" s="10">
        <v>9208286</v>
      </c>
      <c r="E35" s="8"/>
    </row>
    <row r="36" spans="1:5" x14ac:dyDescent="0.2">
      <c r="A36" s="25" t="s">
        <v>44</v>
      </c>
      <c r="B36" s="2">
        <v>2414664</v>
      </c>
      <c r="C36" s="13">
        <v>2214400</v>
      </c>
      <c r="D36" s="10">
        <v>1180886</v>
      </c>
      <c r="E36" s="8"/>
    </row>
    <row r="37" spans="1:5" x14ac:dyDescent="0.2">
      <c r="A37" s="25" t="s">
        <v>69</v>
      </c>
      <c r="B37" s="2">
        <v>2400000</v>
      </c>
      <c r="C37" s="13">
        <v>2400000</v>
      </c>
      <c r="D37" s="10">
        <v>2836596</v>
      </c>
      <c r="E37" s="8"/>
    </row>
    <row r="38" spans="1:5" ht="15" x14ac:dyDescent="0.2">
      <c r="A38" s="6" t="s">
        <v>71</v>
      </c>
      <c r="B38" s="3">
        <f>SUM(B39:B42)</f>
        <v>8549923</v>
      </c>
      <c r="C38" s="3">
        <f t="shared" ref="C38:D38" si="2">SUM(C39:C42)</f>
        <v>11524141</v>
      </c>
      <c r="D38" s="3">
        <f t="shared" si="2"/>
        <v>16811325</v>
      </c>
      <c r="E38" s="3"/>
    </row>
    <row r="39" spans="1:5" x14ac:dyDescent="0.2">
      <c r="A39" s="24" t="s">
        <v>63</v>
      </c>
      <c r="B39" s="2">
        <v>3806400</v>
      </c>
      <c r="C39" s="13">
        <f>1238050+112550+3717078+628478</f>
        <v>5696156</v>
      </c>
      <c r="D39" s="13">
        <v>6619332</v>
      </c>
      <c r="E39" s="13"/>
    </row>
    <row r="40" spans="1:5" x14ac:dyDescent="0.2">
      <c r="A40" s="25" t="s">
        <v>43</v>
      </c>
      <c r="B40" s="2">
        <v>3774900</v>
      </c>
      <c r="C40" s="13">
        <v>4736300</v>
      </c>
      <c r="D40" s="13">
        <v>8886514</v>
      </c>
      <c r="E40" s="13"/>
    </row>
    <row r="41" spans="1:5" x14ac:dyDescent="0.2">
      <c r="A41" s="25" t="s">
        <v>44</v>
      </c>
      <c r="B41" s="2">
        <v>246223</v>
      </c>
      <c r="C41" s="13">
        <v>444878</v>
      </c>
      <c r="D41" s="13">
        <v>450500</v>
      </c>
      <c r="E41" s="13"/>
    </row>
    <row r="42" spans="1:5" x14ac:dyDescent="0.2">
      <c r="A42" s="25" t="s">
        <v>76</v>
      </c>
      <c r="B42" s="2">
        <v>722400</v>
      </c>
      <c r="C42" s="13">
        <v>646807</v>
      </c>
      <c r="D42" s="13">
        <v>854979</v>
      </c>
      <c r="E42" s="13"/>
    </row>
    <row r="43" spans="1:5" ht="15" x14ac:dyDescent="0.2">
      <c r="A43" s="6" t="s">
        <v>72</v>
      </c>
      <c r="B43" s="3">
        <f>SUM(B44:B47)</f>
        <v>9615806</v>
      </c>
      <c r="C43" s="3">
        <f t="shared" ref="C43:D43" si="3">SUM(C44:C47)</f>
        <v>14595992</v>
      </c>
      <c r="D43" s="3">
        <f t="shared" si="3"/>
        <v>23127395.280000001</v>
      </c>
      <c r="E43" s="3"/>
    </row>
    <row r="44" spans="1:5" x14ac:dyDescent="0.2">
      <c r="A44" s="24" t="s">
        <v>64</v>
      </c>
      <c r="B44" s="2">
        <v>4028606</v>
      </c>
      <c r="C44" s="13">
        <v>5322392</v>
      </c>
      <c r="D44" s="13">
        <v>5684655</v>
      </c>
      <c r="E44" s="24"/>
    </row>
    <row r="45" spans="1:5" x14ac:dyDescent="0.2">
      <c r="A45" s="25" t="s">
        <v>43</v>
      </c>
      <c r="B45" s="9">
        <v>4482200</v>
      </c>
      <c r="C45" s="10">
        <v>7025400</v>
      </c>
      <c r="D45" s="13">
        <v>11668543</v>
      </c>
      <c r="E45" s="24"/>
    </row>
    <row r="46" spans="1:5" x14ac:dyDescent="0.2">
      <c r="A46" s="25" t="s">
        <v>59</v>
      </c>
      <c r="B46" s="9">
        <v>199754</v>
      </c>
      <c r="C46" s="10">
        <v>870888</v>
      </c>
      <c r="D46" s="13">
        <v>970888</v>
      </c>
      <c r="E46" s="24"/>
    </row>
    <row r="47" spans="1:5" x14ac:dyDescent="0.2">
      <c r="A47" s="25" t="s">
        <v>75</v>
      </c>
      <c r="B47" s="2">
        <v>905246</v>
      </c>
      <c r="C47" s="13">
        <v>1377312</v>
      </c>
      <c r="D47" s="13">
        <v>4803309.28</v>
      </c>
      <c r="E47" s="24"/>
    </row>
    <row r="48" spans="1:5" ht="15" x14ac:dyDescent="0.2">
      <c r="A48" s="6" t="s">
        <v>73</v>
      </c>
      <c r="B48" s="3">
        <f>SUM(B49:B51)</f>
        <v>5372750</v>
      </c>
      <c r="C48" s="3">
        <f t="shared" ref="C48:D48" si="4">SUM(C49:C51)</f>
        <v>4968428</v>
      </c>
      <c r="D48" s="3">
        <f t="shared" si="4"/>
        <v>4565457</v>
      </c>
      <c r="E48" s="3"/>
    </row>
    <row r="49" spans="1:5" ht="15" x14ac:dyDescent="0.2">
      <c r="A49" s="24" t="s">
        <v>65</v>
      </c>
      <c r="B49" s="10">
        <f>2400000+175750</f>
        <v>2575750</v>
      </c>
      <c r="C49" s="10">
        <f>2400000+120000</f>
        <v>2520000</v>
      </c>
      <c r="D49" s="10">
        <f>2464000+120000</f>
        <v>2584000</v>
      </c>
      <c r="E49" s="27"/>
    </row>
    <row r="50" spans="1:5" x14ac:dyDescent="0.2">
      <c r="A50" s="14" t="s">
        <v>43</v>
      </c>
      <c r="B50" s="26">
        <v>2601250</v>
      </c>
      <c r="C50" s="5">
        <v>2233400</v>
      </c>
      <c r="D50" s="5">
        <v>1787314</v>
      </c>
      <c r="E50" s="24"/>
    </row>
    <row r="51" spans="1:5" x14ac:dyDescent="0.2">
      <c r="A51" s="25" t="s">
        <v>59</v>
      </c>
      <c r="B51" s="26">
        <v>195750</v>
      </c>
      <c r="C51" s="5">
        <v>215028</v>
      </c>
      <c r="D51" s="5">
        <v>194143</v>
      </c>
      <c r="E51" s="24"/>
    </row>
    <row r="52" spans="1:5" ht="15" x14ac:dyDescent="0.2">
      <c r="A52" s="6" t="s">
        <v>74</v>
      </c>
      <c r="B52" s="3">
        <f>SUM(B53:B54)</f>
        <v>1483000</v>
      </c>
      <c r="C52" s="3">
        <f>SUM(C53:C54)</f>
        <v>1895500</v>
      </c>
      <c r="D52" s="3">
        <f>SUM(D53:D54)</f>
        <v>360000</v>
      </c>
      <c r="E52" s="3"/>
    </row>
    <row r="53" spans="1:5" x14ac:dyDescent="0.2">
      <c r="A53" s="11" t="s">
        <v>45</v>
      </c>
      <c r="B53" s="12">
        <v>1123000</v>
      </c>
      <c r="C53" s="1">
        <v>1474000</v>
      </c>
      <c r="D53" s="13">
        <v>0</v>
      </c>
      <c r="E53" s="11"/>
    </row>
    <row r="54" spans="1:5" x14ac:dyDescent="0.2">
      <c r="A54" s="14" t="s">
        <v>44</v>
      </c>
      <c r="B54" s="12">
        <f>360000</f>
        <v>360000</v>
      </c>
      <c r="C54" s="1">
        <f>61500+360000</f>
        <v>421500</v>
      </c>
      <c r="D54" s="1">
        <v>360000</v>
      </c>
      <c r="E54" s="11"/>
    </row>
    <row r="55" spans="1:5" ht="15" x14ac:dyDescent="0.2">
      <c r="A55" s="6" t="s">
        <v>82</v>
      </c>
      <c r="B55" s="3">
        <v>10529207</v>
      </c>
      <c r="C55" s="3">
        <v>16800000</v>
      </c>
      <c r="D55" s="3">
        <v>24225000</v>
      </c>
      <c r="E55" s="11" t="s">
        <v>94</v>
      </c>
    </row>
    <row r="56" spans="1:5" x14ac:dyDescent="0.2">
      <c r="A56" s="11" t="s">
        <v>79</v>
      </c>
      <c r="B56" s="12">
        <v>3529207</v>
      </c>
      <c r="C56" s="1">
        <v>6800000</v>
      </c>
      <c r="D56" s="1">
        <v>9000000</v>
      </c>
      <c r="E56" s="11"/>
    </row>
    <row r="57" spans="1:5" x14ac:dyDescent="0.2">
      <c r="A57" s="11" t="s">
        <v>80</v>
      </c>
      <c r="B57" s="12">
        <v>3000000</v>
      </c>
      <c r="C57" s="1">
        <v>4000000</v>
      </c>
      <c r="D57" s="1">
        <v>6100000</v>
      </c>
      <c r="E57" s="11"/>
    </row>
    <row r="58" spans="1:5" x14ac:dyDescent="0.2">
      <c r="A58" s="11" t="s">
        <v>81</v>
      </c>
      <c r="B58" s="12">
        <v>4000000</v>
      </c>
      <c r="C58" s="1">
        <v>6000000</v>
      </c>
      <c r="D58" s="1">
        <v>9125000</v>
      </c>
      <c r="E58" s="11"/>
    </row>
    <row r="59" spans="1:5" ht="15" x14ac:dyDescent="0.2">
      <c r="A59" s="6" t="s">
        <v>83</v>
      </c>
      <c r="B59" s="3">
        <f>SUM(B60:B63)</f>
        <v>8529207</v>
      </c>
      <c r="C59" s="3">
        <f>SUM(C60:C63)</f>
        <v>6218000</v>
      </c>
      <c r="D59" s="3">
        <f>SUM(D60:D63)</f>
        <v>6759500</v>
      </c>
      <c r="E59" s="3"/>
    </row>
    <row r="60" spans="1:5" ht="15" x14ac:dyDescent="0.2">
      <c r="A60" s="24" t="s">
        <v>66</v>
      </c>
      <c r="B60" s="10">
        <f>180897+1150000</f>
        <v>1330897</v>
      </c>
      <c r="C60" s="10">
        <v>672000</v>
      </c>
      <c r="D60" s="10">
        <v>850500</v>
      </c>
      <c r="E60" s="27"/>
    </row>
    <row r="61" spans="1:5" x14ac:dyDescent="0.2">
      <c r="A61" s="15" t="s">
        <v>43</v>
      </c>
      <c r="B61" s="26">
        <v>1600000</v>
      </c>
      <c r="C61" s="5">
        <v>756000</v>
      </c>
      <c r="D61" s="10">
        <v>1389000</v>
      </c>
      <c r="E61" s="7"/>
    </row>
    <row r="62" spans="1:5" x14ac:dyDescent="0.2">
      <c r="A62" s="7" t="s">
        <v>46</v>
      </c>
      <c r="B62" s="26">
        <v>4700000</v>
      </c>
      <c r="C62" s="5">
        <f>680000+710000+160000</f>
        <v>1550000</v>
      </c>
      <c r="D62" s="33">
        <f>1920000+200000</f>
        <v>2120000</v>
      </c>
      <c r="E62" s="7"/>
    </row>
    <row r="63" spans="1:5" x14ac:dyDescent="0.2">
      <c r="A63" s="7" t="s">
        <v>78</v>
      </c>
      <c r="B63" s="26">
        <v>898310</v>
      </c>
      <c r="C63" s="5">
        <v>3240000</v>
      </c>
      <c r="D63" s="33">
        <v>2400000</v>
      </c>
      <c r="E63" s="7"/>
    </row>
    <row r="64" spans="1:5" ht="15" x14ac:dyDescent="0.2">
      <c r="A64" s="16" t="s">
        <v>27</v>
      </c>
      <c r="B64" s="17">
        <f>SUM(B65:B92)</f>
        <v>134863284.18000001</v>
      </c>
      <c r="C64" s="17">
        <f>SUM(C65:C92)</f>
        <v>147213289.82999998</v>
      </c>
      <c r="D64" s="17">
        <f>SUM(D65:D92)</f>
        <v>195921331.59999999</v>
      </c>
      <c r="E64" s="18"/>
    </row>
    <row r="65" spans="1:5" x14ac:dyDescent="0.2">
      <c r="A65" s="19" t="s">
        <v>60</v>
      </c>
      <c r="B65" s="9">
        <v>41808361</v>
      </c>
      <c r="C65" s="5">
        <v>41777454</v>
      </c>
      <c r="D65" s="5">
        <v>49292013</v>
      </c>
      <c r="E65" s="5"/>
    </row>
    <row r="66" spans="1:5" x14ac:dyDescent="0.2">
      <c r="A66" s="19" t="s">
        <v>28</v>
      </c>
      <c r="B66" s="9">
        <v>4563170</v>
      </c>
      <c r="C66" s="5">
        <v>5022100</v>
      </c>
      <c r="D66" s="5">
        <v>7168200</v>
      </c>
      <c r="E66" s="5"/>
    </row>
    <row r="67" spans="1:5" x14ac:dyDescent="0.2">
      <c r="A67" s="19" t="s">
        <v>29</v>
      </c>
      <c r="B67" s="9">
        <v>11332925</v>
      </c>
      <c r="C67" s="5">
        <f>13290710+362770</f>
        <v>13653480</v>
      </c>
      <c r="D67" s="5">
        <v>14774743</v>
      </c>
      <c r="E67" s="28"/>
    </row>
    <row r="68" spans="1:5" x14ac:dyDescent="0.2">
      <c r="A68" s="19" t="s">
        <v>30</v>
      </c>
      <c r="B68" s="9">
        <v>14612950</v>
      </c>
      <c r="C68" s="5">
        <f>23069600+319500</f>
        <v>23389100</v>
      </c>
      <c r="D68" s="5">
        <v>24390229</v>
      </c>
      <c r="E68" s="28"/>
    </row>
    <row r="69" spans="1:5" x14ac:dyDescent="0.2">
      <c r="A69" s="19" t="s">
        <v>31</v>
      </c>
      <c r="B69" s="9">
        <f>911989.9</f>
        <v>911989.9</v>
      </c>
      <c r="C69" s="5">
        <f>862940+42300</f>
        <v>905240</v>
      </c>
      <c r="D69" s="5">
        <v>1156783</v>
      </c>
      <c r="E69" s="28"/>
    </row>
    <row r="70" spans="1:5" x14ac:dyDescent="0.2">
      <c r="A70" s="19" t="s">
        <v>32</v>
      </c>
      <c r="B70" s="9">
        <v>837100</v>
      </c>
      <c r="C70" s="5">
        <f>881200+29800</f>
        <v>911000</v>
      </c>
      <c r="D70" s="5">
        <v>2000571</v>
      </c>
      <c r="E70" s="28"/>
    </row>
    <row r="71" spans="1:5" x14ac:dyDescent="0.2">
      <c r="A71" s="19" t="s">
        <v>33</v>
      </c>
      <c r="B71" s="9">
        <v>671300</v>
      </c>
      <c r="C71" s="5">
        <f>862350+164200</f>
        <v>1026550</v>
      </c>
      <c r="D71" s="5">
        <v>1470855</v>
      </c>
      <c r="E71" s="28"/>
    </row>
    <row r="72" spans="1:5" x14ac:dyDescent="0.2">
      <c r="A72" s="19" t="s">
        <v>34</v>
      </c>
      <c r="B72" s="9">
        <v>3233335.28</v>
      </c>
      <c r="C72" s="5">
        <f>1928104.16+80938.67</f>
        <v>2009042.8299999998</v>
      </c>
      <c r="D72" s="5">
        <v>5770270</v>
      </c>
      <c r="E72" s="28"/>
    </row>
    <row r="73" spans="1:5" x14ac:dyDescent="0.2">
      <c r="A73" s="19" t="s">
        <v>54</v>
      </c>
      <c r="B73" s="9">
        <v>7878440</v>
      </c>
      <c r="C73" s="5">
        <v>9864059</v>
      </c>
      <c r="D73" s="5">
        <v>10593897</v>
      </c>
      <c r="E73" s="28"/>
    </row>
    <row r="74" spans="1:5" x14ac:dyDescent="0.2">
      <c r="A74" s="19" t="s">
        <v>53</v>
      </c>
      <c r="B74" s="9">
        <v>912328</v>
      </c>
      <c r="C74" s="5">
        <v>1019725</v>
      </c>
      <c r="D74" s="5">
        <v>1019725</v>
      </c>
      <c r="E74" s="28"/>
    </row>
    <row r="75" spans="1:5" x14ac:dyDescent="0.2">
      <c r="A75" s="19" t="s">
        <v>36</v>
      </c>
      <c r="B75" s="9">
        <v>915110</v>
      </c>
      <c r="C75" s="5">
        <f>2132300+200600</f>
        <v>2332900</v>
      </c>
      <c r="D75" s="5">
        <v>4890000</v>
      </c>
      <c r="E75" s="28"/>
    </row>
    <row r="76" spans="1:5" x14ac:dyDescent="0.2">
      <c r="A76" s="19" t="s">
        <v>48</v>
      </c>
      <c r="B76" s="9">
        <v>2682164</v>
      </c>
      <c r="C76" s="5">
        <f>2256435+192126</f>
        <v>2448561</v>
      </c>
      <c r="D76" s="5">
        <v>2583211</v>
      </c>
      <c r="E76" s="28"/>
    </row>
    <row r="77" spans="1:5" x14ac:dyDescent="0.2">
      <c r="A77" s="19" t="s">
        <v>49</v>
      </c>
      <c r="B77" s="9">
        <v>230911</v>
      </c>
      <c r="C77" s="5">
        <f>194224+16566</f>
        <v>210790</v>
      </c>
      <c r="D77" s="5">
        <v>222456</v>
      </c>
      <c r="E77" s="28"/>
    </row>
    <row r="78" spans="1:5" x14ac:dyDescent="0.2">
      <c r="A78" s="19" t="s">
        <v>50</v>
      </c>
      <c r="B78" s="9">
        <v>665853</v>
      </c>
      <c r="C78" s="5">
        <v>1006422</v>
      </c>
      <c r="D78" s="5">
        <f>C78*30%+C78</f>
        <v>1308348.6000000001</v>
      </c>
      <c r="E78" s="28"/>
    </row>
    <row r="79" spans="1:5" x14ac:dyDescent="0.2">
      <c r="A79" s="19" t="s">
        <v>37</v>
      </c>
      <c r="B79" s="9">
        <f>354990+1192000</f>
        <v>1546990</v>
      </c>
      <c r="C79" s="5">
        <f>1630750+16000</f>
        <v>1646750</v>
      </c>
      <c r="D79" s="5">
        <v>1741555</v>
      </c>
      <c r="E79" s="28"/>
    </row>
    <row r="80" spans="1:5" x14ac:dyDescent="0.2">
      <c r="A80" s="19" t="s">
        <v>38</v>
      </c>
      <c r="B80" s="9">
        <v>46000</v>
      </c>
      <c r="C80" s="5">
        <v>88000</v>
      </c>
      <c r="D80" s="5">
        <f>C80*50%+C80</f>
        <v>132000</v>
      </c>
      <c r="E80" s="28"/>
    </row>
    <row r="81" spans="1:5" x14ac:dyDescent="0.2">
      <c r="A81" s="19" t="s">
        <v>47</v>
      </c>
      <c r="B81" s="9">
        <v>27542507</v>
      </c>
      <c r="C81" s="5">
        <v>28137482</v>
      </c>
      <c r="D81" s="5">
        <f>C81+1542338</f>
        <v>29679820</v>
      </c>
      <c r="E81" s="5"/>
    </row>
    <row r="82" spans="1:5" x14ac:dyDescent="0.2">
      <c r="A82" s="8" t="s">
        <v>35</v>
      </c>
      <c r="B82" s="9">
        <v>58390</v>
      </c>
      <c r="C82" s="10">
        <f>102752+532</f>
        <v>103284</v>
      </c>
      <c r="D82" s="10">
        <v>103284</v>
      </c>
      <c r="E82" s="28"/>
    </row>
    <row r="83" spans="1:5" x14ac:dyDescent="0.2">
      <c r="A83" s="8" t="s">
        <v>19</v>
      </c>
      <c r="B83" s="9">
        <v>61400</v>
      </c>
      <c r="C83" s="10">
        <v>68000</v>
      </c>
      <c r="D83" s="10">
        <f>C83</f>
        <v>68000</v>
      </c>
      <c r="E83" s="28"/>
    </row>
    <row r="84" spans="1:5" x14ac:dyDescent="0.2">
      <c r="A84" s="8" t="s">
        <v>20</v>
      </c>
      <c r="B84" s="9">
        <v>4000000</v>
      </c>
      <c r="C84" s="10">
        <v>4000000</v>
      </c>
      <c r="D84" s="10">
        <f>C84</f>
        <v>4000000</v>
      </c>
      <c r="E84" s="28"/>
    </row>
    <row r="85" spans="1:5" x14ac:dyDescent="0.2">
      <c r="A85" s="8" t="s">
        <v>21</v>
      </c>
      <c r="B85" s="9">
        <v>2217000</v>
      </c>
      <c r="C85" s="10">
        <v>2810700</v>
      </c>
      <c r="D85" s="33">
        <v>8598857</v>
      </c>
      <c r="E85" s="28"/>
    </row>
    <row r="86" spans="1:5" x14ac:dyDescent="0.2">
      <c r="A86" s="8" t="s">
        <v>22</v>
      </c>
      <c r="B86" s="9">
        <v>353530</v>
      </c>
      <c r="C86" s="10">
        <v>191450</v>
      </c>
      <c r="D86" s="10">
        <f>1954000</f>
        <v>1954000</v>
      </c>
      <c r="E86" s="35"/>
    </row>
    <row r="87" spans="1:5" x14ac:dyDescent="0.2">
      <c r="A87" s="8" t="s">
        <v>23</v>
      </c>
      <c r="B87" s="9">
        <v>500000</v>
      </c>
      <c r="C87" s="10">
        <v>600000</v>
      </c>
      <c r="D87" s="10">
        <f>C87</f>
        <v>600000</v>
      </c>
      <c r="E87" s="28"/>
    </row>
    <row r="88" spans="1:5" x14ac:dyDescent="0.2">
      <c r="A88" s="8" t="s">
        <v>24</v>
      </c>
      <c r="B88" s="9">
        <v>1118750</v>
      </c>
      <c r="C88" s="10">
        <v>1216400</v>
      </c>
      <c r="D88" s="10">
        <v>2226000</v>
      </c>
      <c r="E88" s="28"/>
    </row>
    <row r="89" spans="1:5" x14ac:dyDescent="0.2">
      <c r="A89" s="23" t="s">
        <v>25</v>
      </c>
      <c r="B89" s="9">
        <v>1900000</v>
      </c>
      <c r="C89" s="10">
        <v>1900000</v>
      </c>
      <c r="D89" s="10">
        <v>14000000</v>
      </c>
      <c r="E89" s="28"/>
    </row>
    <row r="90" spans="1:5" x14ac:dyDescent="0.2">
      <c r="A90" s="8" t="s">
        <v>26</v>
      </c>
      <c r="B90" s="9">
        <v>278000</v>
      </c>
      <c r="C90" s="10">
        <v>556000</v>
      </c>
      <c r="D90" s="10">
        <v>2000000</v>
      </c>
      <c r="E90" s="28" t="s">
        <v>98</v>
      </c>
    </row>
    <row r="91" spans="1:5" x14ac:dyDescent="0.2">
      <c r="A91" s="8" t="s">
        <v>18</v>
      </c>
      <c r="B91" s="9">
        <v>2030780</v>
      </c>
      <c r="C91" s="10">
        <v>271200</v>
      </c>
      <c r="D91" s="10">
        <v>4176514</v>
      </c>
      <c r="E91" s="28"/>
    </row>
    <row r="92" spans="1:5" x14ac:dyDescent="0.2">
      <c r="A92" s="8" t="s">
        <v>68</v>
      </c>
      <c r="B92" s="9">
        <v>1954000</v>
      </c>
      <c r="C92" s="10">
        <v>47600</v>
      </c>
      <c r="D92" s="10">
        <v>0</v>
      </c>
      <c r="E92" s="28"/>
    </row>
    <row r="93" spans="1:5" ht="17.25" customHeight="1" x14ac:dyDescent="0.2">
      <c r="A93" s="6" t="s">
        <v>67</v>
      </c>
      <c r="B93" s="4">
        <f>B4-B31</f>
        <v>-28199986.180000007</v>
      </c>
      <c r="C93" s="4">
        <f>C4-C31</f>
        <v>-42454163.829999983</v>
      </c>
      <c r="D93" s="4">
        <f>D4-D31</f>
        <v>-55839252.879999995</v>
      </c>
      <c r="E93" s="6"/>
    </row>
  </sheetData>
  <mergeCells count="7">
    <mergeCell ref="A29:A30"/>
    <mergeCell ref="B29:C29"/>
    <mergeCell ref="E29:E30"/>
    <mergeCell ref="A1:E1"/>
    <mergeCell ref="A2:A3"/>
    <mergeCell ref="B2:C2"/>
    <mergeCell ref="E2:E3"/>
  </mergeCells>
  <pageMargins left="0.70866141732283461" right="0.70866141732283461" top="0.74803149606299213" bottom="0.74803149606299213" header="0.31496062992125984" footer="0.31496062992125984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rightToLeft="1" tabSelected="1" workbookViewId="0">
      <selection activeCell="C21" sqref="C21"/>
    </sheetView>
  </sheetViews>
  <sheetFormatPr defaultRowHeight="14.25" x14ac:dyDescent="0.2"/>
  <cols>
    <col min="1" max="1" width="36.75" customWidth="1"/>
    <col min="2" max="2" width="15" customWidth="1"/>
    <col min="3" max="3" width="17.625" customWidth="1"/>
    <col min="4" max="4" width="26.875" style="42" customWidth="1"/>
    <col min="5" max="5" width="25.625" customWidth="1"/>
  </cols>
  <sheetData>
    <row r="1" spans="1:5" ht="20.25" x14ac:dyDescent="0.3">
      <c r="A1" s="62" t="s">
        <v>92</v>
      </c>
      <c r="B1" s="62"/>
      <c r="C1" s="62"/>
      <c r="D1" s="62"/>
      <c r="E1" s="62"/>
    </row>
    <row r="4" spans="1:5" s="39" customFormat="1" x14ac:dyDescent="0.2">
      <c r="A4" s="39" t="s">
        <v>0</v>
      </c>
      <c r="B4" s="58" t="s">
        <v>55</v>
      </c>
      <c r="C4" s="59"/>
      <c r="D4" s="43" t="s">
        <v>88</v>
      </c>
      <c r="E4" s="39" t="s">
        <v>57</v>
      </c>
    </row>
    <row r="5" spans="1:5" s="39" customFormat="1" x14ac:dyDescent="0.2">
      <c r="B5" s="40" t="s">
        <v>56</v>
      </c>
      <c r="C5" s="41" t="s">
        <v>77</v>
      </c>
      <c r="D5" s="43" t="s">
        <v>89</v>
      </c>
    </row>
    <row r="6" spans="1:5" s="39" customFormat="1" ht="15" x14ac:dyDescent="0.25">
      <c r="A6" s="44" t="s">
        <v>86</v>
      </c>
      <c r="B6" s="44">
        <v>200381077.18000001</v>
      </c>
      <c r="C6" s="44">
        <v>230243492.82999998</v>
      </c>
      <c r="D6" s="49">
        <v>299736721.88</v>
      </c>
      <c r="E6" s="49" t="s">
        <v>90</v>
      </c>
    </row>
    <row r="7" spans="1:5" s="39" customFormat="1" ht="15" x14ac:dyDescent="0.25">
      <c r="A7" s="44" t="s">
        <v>91</v>
      </c>
      <c r="B7" s="44">
        <v>10529207</v>
      </c>
      <c r="C7" s="44">
        <v>16800000</v>
      </c>
      <c r="D7" s="49">
        <v>26225000</v>
      </c>
      <c r="E7" s="49" t="s">
        <v>93</v>
      </c>
    </row>
    <row r="8" spans="1:5" s="39" customFormat="1" x14ac:dyDescent="0.2">
      <c r="A8" s="45" t="s">
        <v>79</v>
      </c>
      <c r="B8" s="50">
        <v>3529207</v>
      </c>
      <c r="C8" s="50">
        <v>6800000</v>
      </c>
      <c r="D8" s="46">
        <v>9000000</v>
      </c>
      <c r="E8" s="54" t="s">
        <v>95</v>
      </c>
    </row>
    <row r="9" spans="1:5" s="39" customFormat="1" x14ac:dyDescent="0.2">
      <c r="A9" s="45" t="s">
        <v>80</v>
      </c>
      <c r="B9" s="50">
        <v>3000000</v>
      </c>
      <c r="C9" s="50">
        <v>4000000</v>
      </c>
      <c r="D9" s="47">
        <v>6100000</v>
      </c>
      <c r="E9" s="54" t="s">
        <v>96</v>
      </c>
    </row>
    <row r="10" spans="1:5" s="39" customFormat="1" x14ac:dyDescent="0.2">
      <c r="A10" s="45" t="s">
        <v>81</v>
      </c>
      <c r="B10" s="50">
        <v>4000000</v>
      </c>
      <c r="C10" s="50">
        <v>6000000</v>
      </c>
      <c r="D10" s="47">
        <v>9125000</v>
      </c>
      <c r="E10" s="54" t="s">
        <v>97</v>
      </c>
    </row>
    <row r="11" spans="1:5" s="39" customFormat="1" x14ac:dyDescent="0.2">
      <c r="A11" s="48" t="s">
        <v>26</v>
      </c>
      <c r="B11" s="51">
        <v>278000</v>
      </c>
      <c r="C11" s="52">
        <v>556000</v>
      </c>
      <c r="D11" s="53">
        <v>2000000</v>
      </c>
      <c r="E11" s="54" t="s">
        <v>98</v>
      </c>
    </row>
    <row r="12" spans="1:5" s="58" customFormat="1" ht="20.25" x14ac:dyDescent="0.3">
      <c r="A12" s="60" t="s">
        <v>85</v>
      </c>
      <c r="B12" s="61"/>
      <c r="C12" s="61"/>
      <c r="D12" s="61"/>
      <c r="E12" s="61"/>
    </row>
    <row r="15" spans="1:5" ht="15.75" x14ac:dyDescent="0.25">
      <c r="A15" s="63" t="s">
        <v>99</v>
      </c>
      <c r="B15" s="63"/>
      <c r="C15" s="63"/>
    </row>
  </sheetData>
  <mergeCells count="4">
    <mergeCell ref="B4:C4"/>
    <mergeCell ref="A12:XFD12"/>
    <mergeCell ref="A1:E1"/>
    <mergeCell ref="A15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الموازنة العامة</vt:lpstr>
      <vt:lpstr>نسبةالبحث من الميزانية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Al-Joudah</cp:lastModifiedBy>
  <cp:lastPrinted>2025-09-09T08:20:56Z</cp:lastPrinted>
  <dcterms:created xsi:type="dcterms:W3CDTF">2024-08-25T07:24:59Z</dcterms:created>
  <dcterms:modified xsi:type="dcterms:W3CDTF">2026-09-02T05:10:22Z</dcterms:modified>
</cp:coreProperties>
</file>